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BAB8CE19-AACF-46B9-86CB-FAA235CA3822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G47" i="5"/>
  <c r="E14" i="6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I44" i="5" l="1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<sst xmlns="http://schemas.openxmlformats.org/spreadsheetml/2006/main" count="285" uniqueCount="200">
  <si>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</si>
  <si>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</si>
  <si>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</si>
  <si>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</si>
  <si>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</si>
  <si>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</si>
  <si>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</si>
  <si>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</si>
  <si>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</si>
  <si>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</si>
  <si>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</si>
  <si>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</si>
  <si>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</si>
  <si>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</si>
  <si>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</si>
  <si>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</si>
  <si>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</si>
  <si>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</si>
  <si>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</si>
  <si>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</si>
  <si>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</si>
  <si>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</si>
  <si>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</si>
  <si>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</si>
  <si>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</si>
  <si>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</si>
  <si>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</si>
  <si>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</si>
  <si>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</si>
  <si>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</si>
  <si>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</si>
  <si>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</si>
  <si>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</si>
  <si>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</si>
  <si>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</si>
  <si>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</si>
  <si>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</si>
  <si>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</si>
  <si>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</si>
  <si>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</si>
  <si>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</si>
  <si>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</si>
  <si>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</si>
  <si>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</si>
  <si>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</si>
  <si>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</si>
  <si>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</si>
  <si>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</si>
  <si>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</si>
  <si>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</si>
  <si>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</si>
  <si>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</si>
  <si>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</si>
  <si>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</si>
  <si>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</si>
  <si>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</si>
  <si>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</si>
  <si>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</si>
  <si>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</si>
  <si>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</si>
  <si>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</si>
  <si>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</si>
  <si>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</si>
  <si>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</si>
  <si>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</si>
  <si>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</si>
  <si>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</si>
  <si>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</si>
  <si>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</si>
  <si>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</si>
  <si>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</si>
  <si>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</si>
  <si>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</si>
  <si>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</si>
  <si>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</si>
  <si>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</si>
  <si>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</si>
  <si>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</si>
  <si>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</si>
  <si>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</si>
  <si>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</si>
  <si>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</si>
  <si>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</si>
  <si>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</si>
  <si>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</si>
  <si>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</si>
  <si>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</si>
  <si>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</si>
  <si>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</si>
  <si>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</si>
  <si>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</si>
  <si>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</si>
  <si>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</si>
  <si>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</si>
  <si>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</si>
  <si>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</si>
  <si>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</si>
  <si>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</si>
  <si>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</si>
  <si>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</si>
  <si>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</si>
  <si>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</si>
  <si>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</si>
  <si>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</si>
  <si>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</si>
  <si>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</si>
  <si>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</si>
  <si>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</si>
  <si>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</si>
  <si>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</si>
  <si>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</si>
  <si>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</si>
  <si>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</si>
  <si>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</si>
  <si>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</si>
  <si>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</si>
  <si>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</si>
  <si>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</si>
  <si>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</si>
  <si>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</si>
  <si>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</si>
  <si>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</si>
  <si>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</si>
  <si>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</si>
  <si>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</si>
  <si>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</si>
  <si>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</si>
  <si>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</si>
  <si>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</si>
  <si>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</si>
  <si>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</si>
  <si>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</si>
  <si>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</si>
  <si>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</si>
  <si>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</si>
  <si>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</si>
  <si>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</si>
  <si>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</si>
  <si>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</si>
  <si>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</si>
  <si>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</si>
  <si>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</si>
  <si>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</si>
  <si>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</si>
  <si>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</si>
  <si>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</si>
  <si>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</si>
  <si>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</si>
  <si>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</si>
  <si>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</si>
  <si>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</si>
  <si>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</si>
  <si>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</si>
  <si>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</si>
  <si>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</si>
  <si>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</si>
  <si>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</si>
  <si>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</si>
  <si>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</si>
  <si>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</si>
  <si>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</si>
  <si>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</si>
  <si>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</si>
  <si>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</si>
  <si>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</si>
  <si>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</si>
  <si>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</si>
  <si>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</si>
  <si>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</si>
  <si>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</si>
  <si>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</si>
  <si>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</si>
  <si>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</si>
  <si>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</si>
  <si>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</si>
  <si>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</si>
  <si>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</si>
  <si>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</si>
  <si>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</si>
  <si>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</si>
  <si>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</si>
  <si>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</si>
  <si>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</si>
  <si>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</si>
  <si>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</si>
  <si>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</si>
  <si>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</si>
  <si>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</si>
  <si>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</si>
  <si>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</si>
  <si>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</si>
  <si>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Emmering</t>
  </si>
  <si>
    <t>Stand: 15.02.2023</t>
  </si>
  <si>
    <t>Die Gemeinde Emmering setzt sich folgende Ziele:</t>
  </si>
  <si>
    <t>Bruckhof</t>
  </si>
  <si>
    <t>Einholz</t>
  </si>
  <si>
    <t>Emmering</t>
  </si>
  <si>
    <t>Hirschbichl</t>
  </si>
  <si>
    <t>Kronau</t>
  </si>
  <si>
    <t>Schalldorf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</si>
</sst>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10450</c:v>
                </c:pt>
                <c:pt idx="1">
                  <c:v>9669.7856914893564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6220.87</c:v>
                </c:pt>
                <c:pt idx="1">
                  <c:v>8337.4323985591964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84.45</c:v>
                </c:pt>
                <c:pt idx="1">
                  <c:v>91.446257863946343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7245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9510</c:v>
                </c:pt>
                <c:pt idx="1">
                  <c:v>18098.664347912501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16755</c:v>
                </c:pt>
                <c:pt idx="1">
                  <c:v>18098.664347912501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1622.83</c:v>
                </c:pt>
                <c:pt idx="1">
                  <c:v>1304.146510448629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1319.49</c:v>
                </c:pt>
                <c:pt idx="1">
                  <c:v>1480.0811917138426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164.28</c:v>
                </c:pt>
                <c:pt idx="1">
                  <c:v>112.45708526013593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3206.2953020134228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4076</c:v>
                </c:pt>
                <c:pt idx="1">
                  <c:v>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0</c:v>
                </c:pt>
                <c:pt idx="1">
                  <c:v>2026.9800894360305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3119.86</c:v>
                </c:pt>
                <c:pt idx="1">
                  <c:v>6102.9800894360305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405.39601788720609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4343.6794434990006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18.099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16.755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8 %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18098.664347912501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18098.664347912501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18098.664347912501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10450</v>
      </c>
      <c r="E78" s="177">
        <f>LOOKUP('Basis-Annahmen'!E5,'Nachfrage &amp; Erzeugung'!D36:G36,'Nachfrage &amp; Erzeugung'!D38:G38)</f>
        <v>9669.7856914893564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6220.87</v>
      </c>
      <c r="E79" s="177">
        <f>LOOKUP('Basis-Annahmen'!E5,'Nachfrage &amp; Erzeugung'!D36:G36,'Nachfrage &amp; Erzeugung'!D39:G39)</f>
        <v>8337.4323985591964</v>
      </c>
      <c r="F79" s="175"/>
      <c r="G79" s="176" t="s">
        <v>55</v>
      </c>
      <c r="H79" s="177">
        <f>'Nachfrage &amp; Erzeugung'!C46</f>
        <v>7245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84.45</v>
      </c>
      <c r="E80" s="177">
        <f>LOOKUP('Basis-Annahmen'!E5,'Nachfrage &amp; Erzeugung'!D36:G36,'Nachfrage &amp; Erzeugung'!D40:G40)</f>
        <v>91.446257863946343</v>
      </c>
      <c r="F80" s="175"/>
      <c r="G80" s="176" t="str">
        <f>'Nachfrage &amp; Erzeugung'!B47</f>
        <v>Nicht erneuerbare Wärmeerzeugung</v>
      </c>
      <c r="H80" s="177">
        <f>MAX(0,H82-H79)</f>
        <v>9510</v>
      </c>
      <c r="I80" s="177">
        <f>MAX(0,I82-I79)</f>
        <v>18098.664347912501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16755</v>
      </c>
      <c r="E82" s="177">
        <f>LOOKUP('Basis-Annahmen'!E5,'Nachfrage &amp; Erzeugung'!D36:G36,'Nachfrage &amp; Erzeugung'!D37:G37)</f>
        <v>18098.664347912501</v>
      </c>
      <c r="F82" s="175"/>
      <c r="G82" s="176" t="s">
        <v>82</v>
      </c>
      <c r="H82" s="177">
        <f>'Nachfrage &amp; Erzeugung'!C37</f>
        <v>16755</v>
      </c>
      <c r="I82" s="177">
        <f>LOOKUP('Basis-Annahmen'!E5,'Nachfrage &amp; Erzeugung'!D36:G36,'Nachfrage &amp; Erzeugung'!D37:G37)</f>
        <v>18098.664347912501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8.0194828284840425E-2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6.103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96 %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53 %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9000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12839.1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774093.60000000009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4076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4076</v>
      </c>
      <c r="G32" s="256"/>
      <c r="H32" s="248">
        <f>SUM(H27:H31)</f>
        <v>795932.70000000007</v>
      </c>
      <c r="I32" s="248"/>
      <c r="J32" s="245">
        <f>IF(H32&gt;0,F32/H32,0)</f>
        <v>5.1210359870878528E-3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1622.83</v>
      </c>
      <c r="E76" s="186">
        <f>LOOKUP('Basis-Annahmen'!E5,'Nachfrage &amp; Erzeugung'!D9:G9,'Nachfrage &amp; Erzeugung'!D11:G11)</f>
        <v>1304.146510448629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1319.49</v>
      </c>
      <c r="E77" s="186">
        <f>LOOKUP('Basis-Annahmen'!E5,'Nachfrage &amp; Erzeugung'!D9:G9,'Nachfrage &amp; Erzeugung'!D12:G12)</f>
        <v>1480.0811917138426</v>
      </c>
      <c r="F77" s="175"/>
      <c r="G77" s="176" t="s">
        <v>103</v>
      </c>
      <c r="H77" s="186">
        <f>'Nachfrage &amp; Erzeugung'!C21</f>
        <v>4076</v>
      </c>
      <c r="I77" s="186">
        <f>F31</f>
        <v>4076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164.28</v>
      </c>
      <c r="E78" s="186">
        <f>LOOKUP('Basis-Annahmen'!E5,'Nachfrage &amp; Erzeugung'!D9:G9,'Nachfrage &amp; Erzeugung'!D13:G13)</f>
        <v>112.45708526013593</v>
      </c>
      <c r="F78" s="175"/>
      <c r="G78" s="176" t="str">
        <f>'Nachfrage &amp; Erzeugung'!B29</f>
        <v>Nicht aus lokalen EE gedeckter Strombedarf</v>
      </c>
      <c r="H78" s="186">
        <f>'Nachfrage &amp; Erzeugung'!C29</f>
        <v>0</v>
      </c>
      <c r="I78" s="186">
        <f>MAX(0,E82-SUM(I79:I82)-I77)</f>
        <v>2026.9800894360305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3206.2953020134228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3119.86</v>
      </c>
      <c r="E82" s="186">
        <f>LOOKUP('Basis-Annahmen'!E5,'Nachfrage &amp; Erzeugung'!D9:G9,'Nachfrage &amp; Erzeugung'!D10:G10)</f>
        <v>6102.9800894360305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0.95617113890880689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0.52536551898036965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1620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2026.9800894360305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405.39601788720609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0.25024445548592966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18098.664347912501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4343.6794434990006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2.6812836070981487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1.67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4749.0754613862064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2.9315280625840785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405.39601788720609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4343.6794434990006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4.0691759918616479E-3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6.1037639877924718E-3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1490</v>
      </c>
      <c r="F34" s="69">
        <v>1530</v>
      </c>
      <c r="G34" s="69">
        <v>1560</v>
      </c>
      <c r="H34" s="69">
        <v>1590</v>
      </c>
      <c r="I34" s="70">
        <v>1620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2.6845637583892617E-2</v>
      </c>
      <c r="G36" s="67">
        <f>(G34-F34)/F34</f>
        <v>1.9607843137254902E-2</v>
      </c>
      <c r="H36" s="67">
        <f>(H34-G34)/G34</f>
        <v>1.9230769230769232E-2</v>
      </c>
      <c r="I36" s="68">
        <f>(I34-H34)/H34</f>
        <v>1.8867924528301886E-2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49.505984042553195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0.65973154362416109</v>
      </c>
      <c r="F44" s="73">
        <f>E44*(1+(F13*(F43-E43)))</f>
        <v>0.65973154362416109</v>
      </c>
      <c r="G44" s="73">
        <f t="shared" ref="G44:I44" si="0">F44*(1+(G13*(G43-F43)))</f>
        <v>0.65973154362416109</v>
      </c>
      <c r="H44" s="73">
        <f t="shared" si="0"/>
        <v>0.65973154362416109</v>
      </c>
      <c r="I44" s="190">
        <f t="shared" si="0"/>
        <v>0.65973154362416109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983</v>
      </c>
      <c r="F45" s="36">
        <f>F44*F34</f>
        <v>1009.3892617449665</v>
      </c>
      <c r="G45" s="36">
        <f t="shared" ref="G45:I45" si="1">G44*G34</f>
        <v>1029.1812080536913</v>
      </c>
      <c r="H45" s="36">
        <f t="shared" si="1"/>
        <v>1048.9731543624162</v>
      </c>
      <c r="I45" s="74">
        <f t="shared" si="1"/>
        <v>1068.765100671141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4</v>
      </c>
      <c r="F46" s="36">
        <f>F$45*F$14</f>
        <v>50.469463087248329</v>
      </c>
      <c r="G46" s="36">
        <f>G$45*G$14</f>
        <v>308.75436241610737</v>
      </c>
      <c r="H46" s="36">
        <f>H$45*H$14</f>
        <v>629.38389261744965</v>
      </c>
      <c r="I46" s="74">
        <f>I$45*I$14</f>
        <v>1068.765100671141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6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3119.86</v>
      </c>
      <c r="D10" s="94">
        <f>D11+D12+D13+D14+D15</f>
        <v>3119.5794161694225</v>
      </c>
      <c r="E10" s="94">
        <f>E11+E12+E13+E14+D15</f>
        <v>3862.6938688045766</v>
      </c>
      <c r="F10" s="94">
        <f>F11+F12+F13+F14+D15</f>
        <v>4800.771152182755</v>
      </c>
      <c r="G10" s="95">
        <f>G11+G12+G13+G14+D15</f>
        <v>6102.9800894360305</v>
      </c>
      <c r="H10" s="14"/>
    </row>
    <row r="11" spans="1:8" ht="19.5" customHeight="1" x14ac:dyDescent="0.2">
      <c r="B11" s="88" t="s">
        <v>6</v>
      </c>
      <c r="C11" s="96">
        <v>1622.83</v>
      </c>
      <c r="D11" s="97">
        <f>C11/'Basis-Annahmen'!E34*((1-'Basis-Annahmen'!F19)^(D9-C9))*'Basis-Annahmen'!F34</f>
        <v>1545.1097835550543</v>
      </c>
      <c r="E11" s="97">
        <f>D11/'Basis-Annahmen'!F34*((1-'Basis-Annahmen'!G19)^5)*'Basis-Annahmen'!G34</f>
        <v>1460.7424910293907</v>
      </c>
      <c r="F11" s="97">
        <f>E11/'Basis-Annahmen'!G34*((1-'Basis-Annahmen'!H19)^5)*'Basis-Annahmen'!H34</f>
        <v>1380.4711692235282</v>
      </c>
      <c r="G11" s="98">
        <f>F11/'Basis-Annahmen'!H34*((1-'Basis-Annahmen'!I19)^5)*'Basis-Annahmen'!I34</f>
        <v>1304.146510448629</v>
      </c>
      <c r="H11" s="14"/>
    </row>
    <row r="12" spans="1:8" ht="19.5" customHeight="1" x14ac:dyDescent="0.2">
      <c r="B12" s="88" t="s">
        <v>104</v>
      </c>
      <c r="C12" s="96">
        <v>1319.49</v>
      </c>
      <c r="D12" s="97">
        <f>((1-'Basis-Annahmen'!F20)^(D9-C9))*((1+'Basis-Annahmen'!F9)^(D9-C9))*C12</f>
        <v>1281.988417610627</v>
      </c>
      <c r="E12" s="97">
        <f>((1-'Basis-Annahmen'!G20)^5)*((1+'Basis-Annahmen'!G9)^5)*D12</f>
        <v>1344.8832384635348</v>
      </c>
      <c r="F12" s="97">
        <f>((1-'Basis-Annahmen'!H20)^5)*((1+'Basis-Annahmen'!H9)^5)*E12</f>
        <v>1410.8637022409644</v>
      </c>
      <c r="G12" s="98">
        <f>((1-'Basis-Annahmen'!I20)^5)*((1+'Basis-Annahmen'!I9)^5)*F12</f>
        <v>1480.0811917138426</v>
      </c>
      <c r="H12" s="14"/>
    </row>
    <row r="13" spans="1:8" ht="19.5" customHeight="1" x14ac:dyDescent="0.2">
      <c r="B13" s="88" t="s">
        <v>7</v>
      </c>
      <c r="C13" s="96">
        <v>164.28</v>
      </c>
      <c r="D13" s="97">
        <f>C13*((1-'Basis-Annahmen'!F20)^(D9-C9))</f>
        <v>141.07282574199598</v>
      </c>
      <c r="E13" s="97">
        <f>D13*((1-'Basis-Annahmen'!G20)^5)</f>
        <v>130.80505206332882</v>
      </c>
      <c r="F13" s="97">
        <f>E13*((1-'Basis-Annahmen'!H20)^5)</f>
        <v>121.28460286591323</v>
      </c>
      <c r="G13" s="98">
        <f>F13*((1-'Basis-Annahmen'!I20)^5)</f>
        <v>112.45708526013593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151.40838926174499</v>
      </c>
      <c r="E14" s="97">
        <f>'Basis-Annahmen'!G46*'Basis-Annahmen'!G51+'Basis-Annahmen'!G47*'Basis-Annahmen'!G52</f>
        <v>926.26308724832211</v>
      </c>
      <c r="F14" s="97">
        <f>'Basis-Annahmen'!H46*'Basis-Annahmen'!H51+'Basis-Annahmen'!H47*'Basis-Annahmen'!H52</f>
        <v>1888.1516778523489</v>
      </c>
      <c r="G14" s="98">
        <f>'Basis-Annahmen'!I46*'Basis-Annahmen'!I51+'Basis-Annahmen'!I47*'Basis-Annahmen'!I52</f>
        <v>3206.2953020134228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-8.9934750462391852E-5</v>
      </c>
      <c r="E16" s="101">
        <f>(E10-$C$10)/$C$10</f>
        <v>0.23809846236836796</v>
      </c>
      <c r="F16" s="101">
        <f t="shared" ref="F16" si="0">(F10-$C$10)/$C$10</f>
        <v>0.53877775034224451</v>
      </c>
      <c r="G16" s="102">
        <f>(G10-$C$10)/$C$10</f>
        <v>0.95617113890880689</v>
      </c>
      <c r="H16" s="14"/>
    </row>
    <row r="17" spans="1:10" ht="19.5" customHeight="1" x14ac:dyDescent="0.2">
      <c r="B17" s="89" t="s">
        <v>97</v>
      </c>
      <c r="C17" s="107"/>
      <c r="D17" s="104">
        <f>D14/D10</f>
        <v>4.8534872514212693E-2</v>
      </c>
      <c r="E17" s="104">
        <f>E14/E10</f>
        <v>0.23979717749027346</v>
      </c>
      <c r="F17" s="104">
        <f>F14/F10</f>
        <v>0.393301746323373</v>
      </c>
      <c r="G17" s="105">
        <f>G14/G10</f>
        <v>0.52536551898036965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4076</v>
      </c>
      <c r="G21" s="111"/>
    </row>
    <row r="22" spans="1:10" s="14" customFormat="1" ht="19.5" customHeight="1" x14ac:dyDescent="0.2">
      <c r="B22" s="110" t="s">
        <v>14</v>
      </c>
      <c r="C22" s="122">
        <v>289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2154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1633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0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16755</v>
      </c>
      <c r="D37" s="94">
        <f>SUM(D38:D40)</f>
        <v>17090.641207912777</v>
      </c>
      <c r="E37" s="94">
        <f>SUM(E38:E40)</f>
        <v>17401.906159849161</v>
      </c>
      <c r="F37" s="94">
        <f t="shared" ref="F37:G37" si="1">SUM(F38:F40)</f>
        <v>17729.510177033681</v>
      </c>
      <c r="G37" s="95">
        <f t="shared" si="1"/>
        <v>18098.664347912501</v>
      </c>
      <c r="H37" s="14"/>
    </row>
    <row r="38" spans="1:8" ht="19.5" customHeight="1" x14ac:dyDescent="0.2">
      <c r="A38" s="14"/>
      <c r="B38" s="113" t="s">
        <v>6</v>
      </c>
      <c r="C38" s="96">
        <v>10450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10310.640654920211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10111.874128989359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9890.8299102393576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9669.7856914893564</v>
      </c>
      <c r="H38" s="14"/>
    </row>
    <row r="39" spans="1:8" ht="19.5" customHeight="1" x14ac:dyDescent="0.2">
      <c r="A39" s="14"/>
      <c r="B39" s="113" t="s">
        <v>104</v>
      </c>
      <c r="C39" s="96">
        <v>6220.87</v>
      </c>
      <c r="D39" s="97">
        <f>C39*((1-'Basis-Annahmen'!F$24)^(D36-C36))*((1+'Basis-Annahmen'!F$9)^(D36-C36))</f>
        <v>6693.3945500472219</v>
      </c>
      <c r="E39" s="97">
        <f>((1-'Basis-Annahmen'!G$24)^5)*((1+'Basis-Annahmen'!G$9)^5)*'Nachfrage &amp; Erzeugung'!D39</f>
        <v>7201.8110975798963</v>
      </c>
      <c r="F39" s="97">
        <f>((1-'Basis-Annahmen'!H$24)^5)*((1+'Basis-Annahmen'!H$9)^5)*'Nachfrage &amp; Erzeugung'!E39</f>
        <v>7748.8459252501461</v>
      </c>
      <c r="G39" s="98">
        <f>((1-'Basis-Annahmen'!I$24)^5)*((1+'Basis-Annahmen'!I$9)^5)*'Nachfrage &amp; Erzeugung'!F39</f>
        <v>8337.4323985591964</v>
      </c>
      <c r="H39" s="14"/>
    </row>
    <row r="40" spans="1:8" ht="19.5" customHeight="1" x14ac:dyDescent="0.2">
      <c r="A40" s="14"/>
      <c r="B40" s="113" t="s">
        <v>7</v>
      </c>
      <c r="C40" s="96">
        <v>84.45</v>
      </c>
      <c r="D40" s="97">
        <f>C40+(C40*'Basis-Annahmen'!F36)*((1-'Basis-Annahmen'!F24)^(D36-C36))</f>
        <v>86.606002945343761</v>
      </c>
      <c r="E40" s="97">
        <f>D40+(D40*'Basis-Annahmen'!G36)*((1-'Basis-Annahmen'!G24)^5)</f>
        <v>88.220933279905168</v>
      </c>
      <c r="F40" s="97">
        <f>E40+(E40*'Basis-Annahmen'!H36)*((1-'Basis-Annahmen'!H24)^5)</f>
        <v>89.83434154417597</v>
      </c>
      <c r="G40" s="98">
        <f>F40+(F40*'Basis-Annahmen'!I36)*((1-'Basis-Annahmen'!I24)^5)</f>
        <v>91.446257863946343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2.0032301277993238E-2</v>
      </c>
      <c r="E42" s="104">
        <f>(E37-$C$37)/$C$37</f>
        <v>3.8609737979657464E-2</v>
      </c>
      <c r="F42" s="104">
        <f>(F37-$C$37)/$C$37</f>
        <v>5.8162350166140291E-2</v>
      </c>
      <c r="G42" s="105">
        <f>(G37-$C$37)/$C$37</f>
        <v>8.0194828284840425E-2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7245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9510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8.4312929055601324E-2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5.5252003685024226E-2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0.23704598124489537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0.16696187118333747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0.18887879663038068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0.26754841820076092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9000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1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12839.1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85594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774093.60000000009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1075.1300000000001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